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240" yWindow="140" windowWidth="19420" windowHeight="7250" activeTab="1"/>
  </bookViews>
  <sheets>
    <sheet name="COMPLETION  NOTES" sheetId="3" r:id="rId1"/>
    <sheet name="WORKINGS" sheetId="2" r:id="rId2"/>
  </sheets>
  <calcPr calcId="145621"/>
</workbook>
</file>

<file path=xl/calcChain.xml><?xml version="1.0" encoding="utf-8"?>
<calcChain xmlns="http://schemas.openxmlformats.org/spreadsheetml/2006/main">
  <c r="R22" i="2"/>
  <c r="S22"/>
  <c r="S18"/>
  <c r="R18"/>
  <c r="S19" l="1"/>
  <c r="S21" s="1"/>
  <c r="S23" s="1"/>
  <c r="S20"/>
  <c r="R19"/>
  <c r="R21" s="1"/>
  <c r="R20"/>
  <c r="S27" l="1"/>
  <c r="S25"/>
  <c r="R23"/>
  <c r="S24" l="1"/>
  <c r="R25"/>
  <c r="R27"/>
  <c r="S26" l="1"/>
  <c r="R24"/>
  <c r="R26" l="1"/>
  <c r="N25" l="1"/>
  <c r="M25"/>
  <c r="L25"/>
  <c r="P25"/>
  <c r="O25"/>
  <c r="P18"/>
  <c r="P19" s="1"/>
  <c r="O18"/>
  <c r="O20" s="1"/>
  <c r="N18"/>
  <c r="N19" s="1"/>
  <c r="M18"/>
  <c r="M19" s="1"/>
  <c r="L18"/>
  <c r="L20" s="1"/>
  <c r="K18"/>
  <c r="K20" s="1"/>
  <c r="I18"/>
  <c r="I19" s="1"/>
  <c r="G18"/>
  <c r="G20" s="1"/>
  <c r="H18"/>
  <c r="H20" s="1"/>
  <c r="F18"/>
  <c r="F19" s="1"/>
  <c r="E7"/>
  <c r="E6"/>
  <c r="L19" l="1"/>
  <c r="O19"/>
  <c r="M20"/>
  <c r="M21" s="1"/>
  <c r="M22" s="1"/>
  <c r="M23" s="1"/>
  <c r="K19"/>
  <c r="O21"/>
  <c r="O22" s="1"/>
  <c r="F20"/>
  <c r="F21" s="1"/>
  <c r="F22" s="1"/>
  <c r="F23" s="1"/>
  <c r="L21"/>
  <c r="L22" s="1"/>
  <c r="P20"/>
  <c r="P21" s="1"/>
  <c r="N20"/>
  <c r="N21" s="1"/>
  <c r="K21"/>
  <c r="K22" s="1"/>
  <c r="I20"/>
  <c r="I21" s="1"/>
  <c r="I22" s="1"/>
  <c r="H19"/>
  <c r="H21" s="1"/>
  <c r="H22" s="1"/>
  <c r="G19"/>
  <c r="G21" s="1"/>
  <c r="F24" l="1"/>
  <c r="F27" s="1"/>
  <c r="F26"/>
  <c r="O23"/>
  <c r="O24" s="1"/>
  <c r="O26" s="1"/>
  <c r="L23"/>
  <c r="L27" s="1"/>
  <c r="M27"/>
  <c r="M24"/>
  <c r="M26" s="1"/>
  <c r="P22"/>
  <c r="P23" s="1"/>
  <c r="N22"/>
  <c r="N23" s="1"/>
  <c r="K23"/>
  <c r="K24" s="1"/>
  <c r="K26" s="1"/>
  <c r="K27" s="1"/>
  <c r="I23"/>
  <c r="G22"/>
  <c r="G23" s="1"/>
  <c r="G24" s="1"/>
  <c r="H23"/>
  <c r="H24" s="1"/>
  <c r="L24" l="1"/>
  <c r="G27"/>
  <c r="H25"/>
  <c r="H26" s="1"/>
  <c r="H27"/>
  <c r="O27"/>
  <c r="P24"/>
  <c r="P26" s="1"/>
  <c r="P27"/>
  <c r="N24"/>
  <c r="N26" s="1"/>
  <c r="N27"/>
  <c r="I27"/>
  <c r="I25"/>
  <c r="L26" l="1"/>
  <c r="I24"/>
  <c r="I26" s="1"/>
  <c r="G25" l="1"/>
  <c r="G26" s="1"/>
</calcChain>
</file>

<file path=xl/comments1.xml><?xml version="1.0" encoding="utf-8"?>
<comments xmlns="http://schemas.openxmlformats.org/spreadsheetml/2006/main">
  <authors>
    <author>Danny Melling</author>
  </authors>
  <commentList>
    <comment ref="E5" authorId="0">
      <text>
        <r>
          <rPr>
            <b/>
            <sz val="9"/>
            <color indexed="81"/>
            <rFont val="Tahoma"/>
            <family val="2"/>
          </rPr>
          <t>Danny Melling:</t>
        </r>
        <r>
          <rPr>
            <sz val="9"/>
            <color indexed="81"/>
            <rFont val="Tahoma"/>
            <family val="2"/>
          </rPr>
          <t xml:space="preserve">
INSERT YOUR OWN HOURLY RATE EQUIVALENT HERE AND THE REST WILL AUTOMATICALLY CALCULATE</t>
        </r>
      </text>
    </comment>
  </commentList>
</comments>
</file>

<file path=xl/sharedStrings.xml><?xml version="1.0" encoding="utf-8"?>
<sst xmlns="http://schemas.openxmlformats.org/spreadsheetml/2006/main" count="85" uniqueCount="77">
  <si>
    <t>HOLIDAY PAY</t>
  </si>
  <si>
    <t>LABOUR ON COSTS</t>
  </si>
  <si>
    <t>MARK UP</t>
  </si>
  <si>
    <t>TOTAL COST</t>
  </si>
  <si>
    <t>SCENARIO:</t>
  </si>
  <si>
    <t>STAFF HOURLY RATE</t>
  </si>
  <si>
    <t>NATIONAL LIVING WAGE</t>
  </si>
  <si>
    <t>LABOUR COSTS</t>
  </si>
  <si>
    <t>CONTRACT RENEWAL BONUS</t>
  </si>
  <si>
    <t xml:space="preserve">BASED ON £200 PER FULL DAY OF CURRICULAR WORK OVER 38 WEEKS </t>
  </si>
  <si>
    <t>PLANNING/ATTENDANCE BONUS</t>
  </si>
  <si>
    <t>BASED ON £10 PER WEEK SPREAD OVER 35 HOURS</t>
  </si>
  <si>
    <t>EMPLOYERS NATIONAL INSURANCE</t>
  </si>
  <si>
    <t>13.8% OF INCOME OVER £155 PER WEEK</t>
  </si>
  <si>
    <t>BASED ON AVERAGE HOURS WORKED - 28 DAYS PER YEAR</t>
  </si>
  <si>
    <t>RATIOS</t>
  </si>
  <si>
    <t>GROSS PROFIT MARGIN</t>
  </si>
  <si>
    <t>OVERHEADS</t>
  </si>
  <si>
    <t>OPERATION PROFIT MARGIN</t>
  </si>
  <si>
    <t>OVERHEAD RECOVERY COST</t>
  </si>
  <si>
    <t>PS COMMISSION</t>
  </si>
  <si>
    <t>VAT</t>
  </si>
  <si>
    <t>INDIVIDUAL EXTRA CURRICULAR CLUB</t>
  </si>
  <si>
    <t>HALF DAY OF CURICULAR</t>
  </si>
  <si>
    <t>FULL DAY OF CURRICULAR</t>
  </si>
  <si>
    <t>HOLIDAY CLUB PER CHILD PER DAY</t>
  </si>
  <si>
    <t>3 X EXTRA CURRIC CLUBS ON ONE DAY (BC, LC &amp; ASC)</t>
  </si>
  <si>
    <t>FULL DAY CURRIC PLUS 2 EX C CLUBS</t>
  </si>
  <si>
    <t>FULL DAY CURRIC PLUS 1 EX C CLUB</t>
  </si>
  <si>
    <t>MARK UP %</t>
  </si>
  <si>
    <t>INDIVIDUAL EXTRA CURICULAR CLUB</t>
  </si>
  <si>
    <t>HALF DAY CURRICULAR</t>
  </si>
  <si>
    <t>FULL DAY CURRICULAR</t>
  </si>
  <si>
    <t>3 X EX C CLUBS ON ONE DAY</t>
  </si>
  <si>
    <t>FULL DAY CURRIC PLUS ONE CLUB</t>
  </si>
  <si>
    <t>FULL DAY CURRIC PLUS 2 CLUBS</t>
  </si>
  <si>
    <t>%</t>
  </si>
  <si>
    <t>NOTES</t>
  </si>
  <si>
    <t>NA</t>
  </si>
  <si>
    <t>GROSS SELLING PRICE IS PRICE CHARGED TO SCHOOL. YOU MUST ADD THE VAT AMOUNT ONTO THIS</t>
  </si>
  <si>
    <t>RATE</t>
  </si>
  <si>
    <t>ALL ON COSTS, INCLUDING COMMISSION AND VAT, NEED TO BE CONSIDERED WHEN PRICING PARENT FUNDED HOLIDAY CLUBS SO THAT YOU DON’T COME UP SHORT. BASED ON AN AVERAGE RATIO OF 1:12 (1 X AP TO 12 CHILDREN - OVERALL AVG ATTENDANCE OF 24 PER DAY) THE INDIVIDUAL PRICING WORKS OUT AT £15.50 PER DAY</t>
  </si>
  <si>
    <t>FULL DAY CURRIC PLUS 3 EX C CLUBS</t>
  </si>
  <si>
    <t>HALF DAY CURRIC PLUS 1 EX C CLUB</t>
  </si>
  <si>
    <t>HALF DAY CURRIC PLUS 2 EX C CLUB</t>
  </si>
  <si>
    <t>NET BALANCE TO MATCH NET SELLING PRICE</t>
  </si>
  <si>
    <t>NET SELLING PRICE ( RETAINED INCOME)</t>
  </si>
  <si>
    <t>GROSS SELLING PRICE (PRICE TO CUSTOMER)</t>
  </si>
  <si>
    <t>PRODUCTS</t>
  </si>
  <si>
    <t>INDIVIDUAL SCHOOL BUNDLES</t>
  </si>
  <si>
    <t>INDIVIDUAL PRODUCT PRICES</t>
  </si>
  <si>
    <t>INDIVIDUAL SCHOOLS</t>
  </si>
  <si>
    <t>THE ONLY BOX YOU NEED TO CHANGE IS THE 'HOURLY RATE' CELL. INSERT YOUR OWN COMPANY RATES INTO HERE. THIS BOX IS HIGHLIGHTED GREEN</t>
  </si>
  <si>
    <t xml:space="preserve">THESE FIGURES ARE BASED ON  'MINIMUM' PRICES </t>
  </si>
  <si>
    <t>BUNDLE PACKAGES HAVE A REDUCED MARK UP BUT YOU SHOULD BUILD IN EXTRA RESPONSIBILITY FOR THOSE STAFF WORKING EXTRA HOURS - LEAN PROCESS</t>
  </si>
  <si>
    <t>HOURLY RATE WORKINGS:-</t>
  </si>
  <si>
    <t>1 CLUB = 2 HOURS PAY</t>
  </si>
  <si>
    <t>FULL DAY CURIC = 5.5 HRS PAY</t>
  </si>
  <si>
    <t>FULL DAY PLUS 1 CLUB = 6.5 HRS PAY</t>
  </si>
  <si>
    <t>FULL DAY PLUS 2 CLUBS = 7.5 HRS PAY</t>
  </si>
  <si>
    <t>FULL DAY PLUS 3 CLUBS = 8.5 HRS PAY</t>
  </si>
  <si>
    <t>HOLIDAY CLUB = 6.5 HRS PAY</t>
  </si>
  <si>
    <t>3 CLUBS ON ONE DAY = 6.5 HRS PAY</t>
  </si>
  <si>
    <t>HALF DAY = 3.5 HOURS PAY</t>
  </si>
  <si>
    <t>IS THE PRICING YOU WILL CHARGE TO CUSTOMER</t>
  </si>
  <si>
    <t>IS THE NET INCOME THAT YOUR BUSINESS WILL RECEIVE AFTER COMMISSION &amp; VAT</t>
  </si>
  <si>
    <t>IS THE VAT AND MUST NOT BE INCLUDED IN YOUR PRICING AS THIS MONEY DOESN’T BELONG TO YOU</t>
  </si>
  <si>
    <t>IS THE ONLY CELL YOU SHOULD AMEND - ALL THE OTHERS WILL AUTO CALCULATE</t>
  </si>
  <si>
    <t>PREMIUM PRODUCT SO HIGHER MARK UP</t>
  </si>
  <si>
    <t>BUNDLE PRICING DISCOUNT SO SLIGHTLY LOWER MARK UP</t>
  </si>
  <si>
    <t>IF SCHOOL FUNDED THEN CHARGE NET SELLING PRICE PLUS VAT. IF PARENT FUNDED BASE THE INDIVIDUAL PRICING ON THE NET SELLING PRICE PLUS VAT. DIVIDE THIS TOTAL BY AVERAGE CLUB NUMBERS EG £58.50 DIVIDED BY 15 CHILDREN PER CLUB = £3.90 PER CHILD</t>
  </si>
  <si>
    <t>3 CLUBS IN ONE DAY, TO PROVIDE FULL TIME HOURS FOR THE AP. AP CAN BE UTILISED EFFECTIVELY INBETWEEN DELIVERY HOURS TO COMPLETE PAPERWORK OR GENERALLY SUPPORT THE BUSINESS.</t>
  </si>
  <si>
    <t>ALL ON COSTS, INCLUDING COMMISSION AND VAT, NEED TO BE CONSIDERED WHEN PRICING PARENT FUNDED HOLIDAY CLUBS SO THAT YOU DON’T COME UP SHORT. BASED ON AN AVERAGE RATIO OF 1:12 (1 X AP TO 12 CHILDREN - OVERALL AVG ATTENDANCE OF 24 PER DAY) THE INDIVIDUAL PRICING WORKS OUT AT £13.56 PER DAY with a 25% discount for full week booking (an 85% mark up)</t>
  </si>
  <si>
    <t>ALL ON COSTS, INCLUDING COMMISSION AND VAT, NEED TO BE CONSIDERED WHEN PRICING PARENT FUNDED HOLIDAY CLUBS SO THAT YOU DON’T COME UP SHORT. BASED ON AN AVERAGE RATIO OF 1:12 (1 X AP TO 12 CHILDREN - OVERALL AVG ATTENDANCE OF 24 PER DAY) THE INDIVIDUAL PRICING WORKS OUT AT £14.70 PER DAY based on a 3 day booking with a 15% discount.</t>
  </si>
  <si>
    <t>HOLIDAY CLUB PER CHILD PER FULL WEEK BOOKING WITH 25% DISCOUNT</t>
  </si>
  <si>
    <t>HOLIDAY CLUB PER CHILD PER 3 DAYs BOOKING WITH 15% DISCOUNT</t>
  </si>
  <si>
    <t>HOLIDAY COURSE BUNDLE BOOKINGS</t>
  </si>
</sst>
</file>

<file path=xl/styles.xml><?xml version="1.0" encoding="utf-8"?>
<styleSheet xmlns="http://schemas.openxmlformats.org/spreadsheetml/2006/main">
  <numFmts count="2">
    <numFmt numFmtId="44" formatCode="_-&quot;£&quot;* #,##0.00_-;\-&quot;£&quot;* #,##0.00_-;_-&quot;£&quot;* &quot;-&quot;??_-;_-@_-"/>
    <numFmt numFmtId="164" formatCode="_-&quot;£&quot;* #,##0_-;\-&quot;£&quot;* #,##0_-;_-&quot;£&quot;* &quot;-&quot;??_-;_-@_-"/>
  </numFmts>
  <fonts count="5">
    <font>
      <sz val="11"/>
      <color theme="1"/>
      <name val="Calibri"/>
      <family val="2"/>
      <scheme val="minor"/>
    </font>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s>
  <fills count="6">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rgb="FFFF0000"/>
        <bgColor indexed="64"/>
      </patternFill>
    </fill>
    <fill>
      <patternFill patternType="solid">
        <fgColor rgb="FF92D05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31">
    <xf numFmtId="0" fontId="0" fillId="0" borderId="0" xfId="0"/>
    <xf numFmtId="44" fontId="0" fillId="0" borderId="0" xfId="0" applyNumberFormat="1"/>
    <xf numFmtId="0" fontId="2" fillId="0" borderId="0" xfId="0" applyFont="1"/>
    <xf numFmtId="0" fontId="0" fillId="0" borderId="1" xfId="0" applyBorder="1"/>
    <xf numFmtId="44" fontId="0" fillId="0" borderId="1" xfId="1" applyFont="1" applyBorder="1"/>
    <xf numFmtId="0" fontId="0" fillId="0" borderId="1" xfId="0" applyBorder="1" applyAlignment="1">
      <alignment wrapText="1"/>
    </xf>
    <xf numFmtId="0" fontId="2" fillId="0" borderId="1" xfId="0" applyFont="1" applyBorder="1"/>
    <xf numFmtId="9" fontId="0" fillId="0" borderId="1" xfId="0" applyNumberFormat="1" applyBorder="1"/>
    <xf numFmtId="0" fontId="0" fillId="0" borderId="1" xfId="0" applyBorder="1" applyAlignment="1">
      <alignment horizontal="center"/>
    </xf>
    <xf numFmtId="0" fontId="0" fillId="2" borderId="0" xfId="0" applyFill="1"/>
    <xf numFmtId="0" fontId="0" fillId="3" borderId="0" xfId="0" applyFill="1"/>
    <xf numFmtId="0" fontId="0" fillId="0" borderId="1" xfId="0" applyBorder="1" applyAlignment="1">
      <alignment horizontal="right"/>
    </xf>
    <xf numFmtId="0" fontId="0" fillId="2" borderId="1" xfId="0" applyFill="1" applyBorder="1"/>
    <xf numFmtId="0" fontId="2" fillId="3" borderId="1" xfId="0" applyFont="1" applyFill="1" applyBorder="1"/>
    <xf numFmtId="0" fontId="2" fillId="2" borderId="1" xfId="0" applyFont="1" applyFill="1" applyBorder="1"/>
    <xf numFmtId="9" fontId="2" fillId="2" borderId="1" xfId="0" applyNumberFormat="1" applyFont="1" applyFill="1" applyBorder="1"/>
    <xf numFmtId="0" fontId="0" fillId="4" borderId="1" xfId="0" applyFill="1" applyBorder="1"/>
    <xf numFmtId="9" fontId="0" fillId="4" borderId="1" xfId="0" applyNumberFormat="1" applyFill="1" applyBorder="1"/>
    <xf numFmtId="0" fontId="0" fillId="5" borderId="1" xfId="0" applyFill="1" applyBorder="1"/>
    <xf numFmtId="44" fontId="0" fillId="5" borderId="1" xfId="1" applyFont="1" applyFill="1" applyBorder="1"/>
    <xf numFmtId="0" fontId="0" fillId="5" borderId="0" xfId="0" applyFill="1"/>
    <xf numFmtId="0" fontId="0" fillId="4" borderId="0" xfId="0" applyFill="1"/>
    <xf numFmtId="164" fontId="0" fillId="0" borderId="1" xfId="0" applyNumberFormat="1" applyBorder="1"/>
    <xf numFmtId="164" fontId="0" fillId="2" borderId="1" xfId="0" applyNumberFormat="1" applyFill="1" applyBorder="1"/>
    <xf numFmtId="164" fontId="2" fillId="3" borderId="1" xfId="0" applyNumberFormat="1" applyFont="1" applyFill="1" applyBorder="1"/>
    <xf numFmtId="164" fontId="0" fillId="0" borderId="1" xfId="1" applyNumberFormat="1" applyFont="1" applyBorder="1"/>
    <xf numFmtId="164" fontId="2" fillId="2" borderId="1" xfId="0" applyNumberFormat="1" applyFont="1" applyFill="1" applyBorder="1"/>
    <xf numFmtId="164" fontId="2" fillId="2" borderId="1" xfId="1" applyNumberFormat="1" applyFont="1" applyFill="1" applyBorder="1"/>
    <xf numFmtId="164" fontId="0" fillId="4" borderId="1" xfId="0" applyNumberFormat="1" applyFill="1" applyBorder="1"/>
    <xf numFmtId="44" fontId="0" fillId="0" borderId="1" xfId="0" applyNumberFormat="1" applyBorder="1"/>
    <xf numFmtId="0" fontId="0" fillId="0" borderId="1" xfId="0" applyBorder="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dimension ref="C3:D24"/>
  <sheetViews>
    <sheetView topLeftCell="A2" workbookViewId="0">
      <selection activeCell="H13" sqref="H13"/>
    </sheetView>
  </sheetViews>
  <sheetFormatPr defaultRowHeight="14.5"/>
  <sheetData>
    <row r="3" spans="3:3">
      <c r="C3" t="s">
        <v>52</v>
      </c>
    </row>
    <row r="4" spans="3:3">
      <c r="C4" t="s">
        <v>53</v>
      </c>
    </row>
    <row r="5" spans="3:3">
      <c r="C5" t="s">
        <v>54</v>
      </c>
    </row>
    <row r="7" spans="3:3">
      <c r="C7" s="2" t="s">
        <v>55</v>
      </c>
    </row>
    <row r="9" spans="3:3">
      <c r="C9" t="s">
        <v>56</v>
      </c>
    </row>
    <row r="10" spans="3:3">
      <c r="C10" t="s">
        <v>63</v>
      </c>
    </row>
    <row r="11" spans="3:3">
      <c r="C11" t="s">
        <v>57</v>
      </c>
    </row>
    <row r="12" spans="3:3">
      <c r="C12" t="s">
        <v>58</v>
      </c>
    </row>
    <row r="13" spans="3:3">
      <c r="C13" t="s">
        <v>59</v>
      </c>
    </row>
    <row r="14" spans="3:3">
      <c r="C14" t="s">
        <v>60</v>
      </c>
    </row>
    <row r="15" spans="3:3">
      <c r="C15" t="s">
        <v>61</v>
      </c>
    </row>
    <row r="16" spans="3:3">
      <c r="C16" t="s">
        <v>62</v>
      </c>
    </row>
    <row r="18" spans="3:4">
      <c r="C18" s="10"/>
      <c r="D18" t="s">
        <v>64</v>
      </c>
    </row>
    <row r="20" spans="3:4">
      <c r="C20" s="9"/>
      <c r="D20" t="s">
        <v>65</v>
      </c>
    </row>
    <row r="22" spans="3:4">
      <c r="C22" s="21"/>
      <c r="D22" t="s">
        <v>66</v>
      </c>
    </row>
    <row r="24" spans="3:4">
      <c r="C24" s="20"/>
      <c r="D24" t="s">
        <v>67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D3:Y30"/>
  <sheetViews>
    <sheetView tabSelected="1" topLeftCell="J9" zoomScale="90" zoomScaleNormal="90" workbookViewId="0">
      <selection activeCell="N12" sqref="N12"/>
    </sheetView>
  </sheetViews>
  <sheetFormatPr defaultRowHeight="14.5"/>
  <cols>
    <col min="4" max="4" width="40.453125" bestFit="1" customWidth="1"/>
    <col min="6" max="6" width="29.54296875" customWidth="1"/>
    <col min="7" max="7" width="14" customWidth="1"/>
    <col min="8" max="8" width="23.1796875" customWidth="1"/>
    <col min="9" max="9" width="25.453125" customWidth="1"/>
    <col min="10" max="10" width="20" customWidth="1"/>
    <col min="11" max="11" width="14.7265625" customWidth="1"/>
    <col min="12" max="12" width="18.81640625" customWidth="1"/>
    <col min="14" max="14" width="22.453125" customWidth="1"/>
    <col min="18" max="18" width="12.1796875" bestFit="1" customWidth="1"/>
    <col min="19" max="19" width="11.81640625" customWidth="1"/>
    <col min="20" max="21" width="12.1796875" bestFit="1" customWidth="1"/>
    <col min="22" max="22" width="15.453125" customWidth="1"/>
    <col min="23" max="23" width="19.1796875" customWidth="1"/>
    <col min="25" max="25" width="11.1796875" bestFit="1" customWidth="1"/>
  </cols>
  <sheetData>
    <row r="3" spans="4:19" ht="32.25" customHeight="1">
      <c r="D3" s="2" t="s">
        <v>4</v>
      </c>
      <c r="H3" s="6" t="s">
        <v>29</v>
      </c>
      <c r="I3" s="30" t="s">
        <v>51</v>
      </c>
      <c r="J3" s="30"/>
    </row>
    <row r="4" spans="4:19">
      <c r="D4" s="3" t="s">
        <v>7</v>
      </c>
      <c r="E4" s="3" t="s">
        <v>40</v>
      </c>
      <c r="F4" s="3" t="s">
        <v>37</v>
      </c>
      <c r="H4" s="3"/>
      <c r="I4" s="8" t="s">
        <v>36</v>
      </c>
      <c r="J4" s="3" t="s">
        <v>37</v>
      </c>
    </row>
    <row r="5" spans="4:19" ht="33" customHeight="1">
      <c r="D5" s="18" t="s">
        <v>5</v>
      </c>
      <c r="E5" s="19">
        <v>7.85</v>
      </c>
      <c r="F5" s="5" t="s">
        <v>6</v>
      </c>
      <c r="H5" s="5" t="s">
        <v>30</v>
      </c>
      <c r="I5" s="8">
        <v>130</v>
      </c>
      <c r="J5" s="5" t="s">
        <v>68</v>
      </c>
    </row>
    <row r="6" spans="4:19" ht="43.5">
      <c r="D6" s="3" t="s">
        <v>8</v>
      </c>
      <c r="E6" s="4">
        <f>200/38</f>
        <v>5.2631578947368425</v>
      </c>
      <c r="F6" s="5" t="s">
        <v>9</v>
      </c>
      <c r="H6" s="5" t="s">
        <v>31</v>
      </c>
      <c r="I6" s="8">
        <v>120</v>
      </c>
      <c r="J6" s="3"/>
    </row>
    <row r="7" spans="4:19" ht="29">
      <c r="D7" s="3" t="s">
        <v>10</v>
      </c>
      <c r="E7" s="4">
        <f>10/35</f>
        <v>0.2857142857142857</v>
      </c>
      <c r="F7" s="5" t="s">
        <v>11</v>
      </c>
      <c r="H7" s="5" t="s">
        <v>32</v>
      </c>
      <c r="I7" s="8">
        <v>100</v>
      </c>
      <c r="J7" s="3"/>
    </row>
    <row r="8" spans="4:19" ht="30" customHeight="1">
      <c r="D8" s="3" t="s">
        <v>12</v>
      </c>
      <c r="E8" s="4">
        <v>0.65</v>
      </c>
      <c r="F8" s="5" t="s">
        <v>13</v>
      </c>
      <c r="H8" s="5" t="s">
        <v>25</v>
      </c>
      <c r="I8" s="8">
        <v>100</v>
      </c>
      <c r="J8" s="3"/>
    </row>
    <row r="9" spans="4:19" ht="58">
      <c r="D9" s="3" t="s">
        <v>0</v>
      </c>
      <c r="E9" s="4"/>
      <c r="F9" s="5" t="s">
        <v>14</v>
      </c>
      <c r="H9" s="5" t="s">
        <v>33</v>
      </c>
      <c r="I9" s="8">
        <v>85</v>
      </c>
      <c r="J9" s="5" t="s">
        <v>69</v>
      </c>
    </row>
    <row r="10" spans="4:19" ht="29">
      <c r="D10" s="3"/>
      <c r="E10" s="3"/>
      <c r="F10" s="3"/>
      <c r="H10" s="5" t="s">
        <v>34</v>
      </c>
      <c r="I10" s="8">
        <v>115</v>
      </c>
      <c r="J10" s="3"/>
    </row>
    <row r="11" spans="4:19" ht="29">
      <c r="D11" s="6" t="s">
        <v>15</v>
      </c>
      <c r="E11" s="3"/>
      <c r="F11" s="3"/>
      <c r="H11" s="5" t="s">
        <v>35</v>
      </c>
      <c r="I11" s="8">
        <v>115</v>
      </c>
      <c r="J11" s="3"/>
    </row>
    <row r="12" spans="4:19" ht="29">
      <c r="D12" s="3" t="s">
        <v>16</v>
      </c>
      <c r="E12" s="7">
        <v>0.5</v>
      </c>
      <c r="F12" s="3"/>
      <c r="H12" s="5" t="s">
        <v>42</v>
      </c>
      <c r="I12" s="8">
        <v>115</v>
      </c>
      <c r="J12" s="3"/>
    </row>
    <row r="13" spans="4:19" ht="29">
      <c r="D13" s="3" t="s">
        <v>17</v>
      </c>
      <c r="E13" s="7">
        <v>0.2</v>
      </c>
      <c r="F13" s="3"/>
      <c r="H13" s="5" t="s">
        <v>43</v>
      </c>
      <c r="I13" s="8">
        <v>115</v>
      </c>
      <c r="J13" s="3"/>
    </row>
    <row r="14" spans="4:19" ht="29">
      <c r="D14" s="3" t="s">
        <v>18</v>
      </c>
      <c r="E14" s="7">
        <v>0.3</v>
      </c>
      <c r="F14" s="3"/>
      <c r="H14" s="5" t="s">
        <v>44</v>
      </c>
      <c r="I14" s="8">
        <v>115</v>
      </c>
      <c r="J14" s="3"/>
    </row>
    <row r="16" spans="4:19" ht="30.75" customHeight="1">
      <c r="D16" s="3"/>
      <c r="E16" s="3"/>
      <c r="F16" s="30" t="s">
        <v>50</v>
      </c>
      <c r="G16" s="30"/>
      <c r="H16" s="30"/>
      <c r="I16" s="30"/>
      <c r="K16" s="30" t="s">
        <v>49</v>
      </c>
      <c r="L16" s="30"/>
      <c r="M16" s="30"/>
      <c r="N16" s="30"/>
      <c r="O16" s="30"/>
      <c r="P16" s="30"/>
      <c r="R16" s="30" t="s">
        <v>76</v>
      </c>
      <c r="S16" s="30"/>
    </row>
    <row r="17" spans="4:25" ht="101.5">
      <c r="D17" s="11" t="s">
        <v>48</v>
      </c>
      <c r="E17" s="3"/>
      <c r="F17" s="5" t="s">
        <v>22</v>
      </c>
      <c r="G17" s="5" t="s">
        <v>23</v>
      </c>
      <c r="H17" s="5" t="s">
        <v>24</v>
      </c>
      <c r="I17" s="5" t="s">
        <v>25</v>
      </c>
      <c r="K17" s="5" t="s">
        <v>26</v>
      </c>
      <c r="L17" s="5" t="s">
        <v>28</v>
      </c>
      <c r="M17" s="5" t="s">
        <v>27</v>
      </c>
      <c r="N17" s="5" t="s">
        <v>42</v>
      </c>
      <c r="O17" s="5" t="s">
        <v>43</v>
      </c>
      <c r="P17" s="5" t="s">
        <v>44</v>
      </c>
      <c r="R17" s="5" t="s">
        <v>75</v>
      </c>
      <c r="S17" s="5" t="s">
        <v>74</v>
      </c>
    </row>
    <row r="18" spans="4:25">
      <c r="D18" s="3" t="s">
        <v>7</v>
      </c>
      <c r="E18" s="3"/>
      <c r="F18" s="22">
        <f>E5*2</f>
        <v>15.7</v>
      </c>
      <c r="G18" s="22">
        <f>E5*3.5</f>
        <v>27.474999999999998</v>
      </c>
      <c r="H18" s="22">
        <f>E5*5.5</f>
        <v>43.174999999999997</v>
      </c>
      <c r="I18" s="22">
        <f>E5*6.5</f>
        <v>51.024999999999999</v>
      </c>
      <c r="K18" s="22">
        <f>E5*6</f>
        <v>47.099999999999994</v>
      </c>
      <c r="L18" s="22">
        <f>E5*6.5</f>
        <v>51.024999999999999</v>
      </c>
      <c r="M18" s="22">
        <f>E5*7.5</f>
        <v>58.875</v>
      </c>
      <c r="N18" s="22">
        <f>E5*8.5</f>
        <v>66.724999999999994</v>
      </c>
      <c r="O18" s="22">
        <f>E5*4.5</f>
        <v>35.324999999999996</v>
      </c>
      <c r="P18" s="22">
        <f>E5*5.5</f>
        <v>43.174999999999997</v>
      </c>
      <c r="R18" s="22">
        <f>E5*20</f>
        <v>157</v>
      </c>
      <c r="S18" s="22">
        <f>E5*32.5</f>
        <v>255.125</v>
      </c>
    </row>
    <row r="19" spans="4:25">
      <c r="D19" s="3" t="s">
        <v>1</v>
      </c>
      <c r="E19" s="7">
        <v>0.15</v>
      </c>
      <c r="F19" s="22">
        <f>F18*15%</f>
        <v>2.355</v>
      </c>
      <c r="G19" s="22">
        <f t="shared" ref="G19:P19" si="0">G18*15%</f>
        <v>4.1212499999999999</v>
      </c>
      <c r="H19" s="22">
        <f t="shared" si="0"/>
        <v>6.4762499999999994</v>
      </c>
      <c r="I19" s="22">
        <f t="shared" si="0"/>
        <v>7.6537499999999996</v>
      </c>
      <c r="K19" s="22">
        <f t="shared" si="0"/>
        <v>7.0649999999999986</v>
      </c>
      <c r="L19" s="22">
        <f t="shared" si="0"/>
        <v>7.6537499999999996</v>
      </c>
      <c r="M19" s="22">
        <f t="shared" si="0"/>
        <v>8.8312499999999989</v>
      </c>
      <c r="N19" s="22">
        <f t="shared" si="0"/>
        <v>10.008749999999999</v>
      </c>
      <c r="O19" s="22">
        <f t="shared" si="0"/>
        <v>5.2987499999999992</v>
      </c>
      <c r="P19" s="22">
        <f t="shared" si="0"/>
        <v>6.4762499999999994</v>
      </c>
      <c r="R19" s="22">
        <f t="shared" ref="R19" si="1">R18*15%</f>
        <v>23.55</v>
      </c>
      <c r="S19" s="22">
        <f t="shared" ref="S19" si="2">S18*15%</f>
        <v>38.268749999999997</v>
      </c>
    </row>
    <row r="20" spans="4:25">
      <c r="D20" s="3" t="s">
        <v>19</v>
      </c>
      <c r="E20" s="7">
        <v>0.2</v>
      </c>
      <c r="F20" s="22">
        <f>F18*20%</f>
        <v>3.14</v>
      </c>
      <c r="G20" s="22">
        <f t="shared" ref="G20:M20" si="3">G18*20%</f>
        <v>5.4950000000000001</v>
      </c>
      <c r="H20" s="22">
        <f t="shared" si="3"/>
        <v>8.6349999999999998</v>
      </c>
      <c r="I20" s="22">
        <f t="shared" si="3"/>
        <v>10.205</v>
      </c>
      <c r="K20" s="22">
        <f t="shared" si="3"/>
        <v>9.42</v>
      </c>
      <c r="L20" s="22">
        <f t="shared" si="3"/>
        <v>10.205</v>
      </c>
      <c r="M20" s="22">
        <f t="shared" si="3"/>
        <v>11.775</v>
      </c>
      <c r="N20" s="22">
        <f t="shared" ref="N20:O20" si="4">N18*20%</f>
        <v>13.344999999999999</v>
      </c>
      <c r="O20" s="22">
        <f t="shared" si="4"/>
        <v>7.0649999999999995</v>
      </c>
      <c r="P20" s="22">
        <f t="shared" ref="P20" si="5">P18*20%</f>
        <v>8.6349999999999998</v>
      </c>
      <c r="R20" s="22">
        <f t="shared" ref="R20" si="6">R18*20%</f>
        <v>31.400000000000002</v>
      </c>
      <c r="S20" s="22">
        <f t="shared" ref="S20" si="7">S18*20%</f>
        <v>51.025000000000006</v>
      </c>
    </row>
    <row r="21" spans="4:25">
      <c r="D21" s="3" t="s">
        <v>3</v>
      </c>
      <c r="E21" s="3"/>
      <c r="F21" s="22">
        <f>SUM(F18:F20)</f>
        <v>21.195</v>
      </c>
      <c r="G21" s="22">
        <f t="shared" ref="G21:P21" si="8">SUM(G18:G20)</f>
        <v>37.091249999999995</v>
      </c>
      <c r="H21" s="22">
        <f t="shared" si="8"/>
        <v>58.286249999999995</v>
      </c>
      <c r="I21" s="22">
        <f t="shared" si="8"/>
        <v>68.883750000000006</v>
      </c>
      <c r="K21" s="22">
        <f t="shared" si="8"/>
        <v>63.584999999999994</v>
      </c>
      <c r="L21" s="22">
        <f t="shared" si="8"/>
        <v>68.883750000000006</v>
      </c>
      <c r="M21" s="22">
        <f t="shared" si="8"/>
        <v>79.481250000000003</v>
      </c>
      <c r="N21" s="22">
        <f t="shared" si="8"/>
        <v>90.078749999999985</v>
      </c>
      <c r="O21" s="22">
        <f t="shared" si="8"/>
        <v>47.688749999999992</v>
      </c>
      <c r="P21" s="22">
        <f t="shared" si="8"/>
        <v>58.286249999999995</v>
      </c>
      <c r="R21" s="22">
        <f t="shared" ref="R21" si="9">SUM(R18:R20)</f>
        <v>211.95000000000002</v>
      </c>
      <c r="S21" s="22">
        <f t="shared" ref="S21" si="10">SUM(S18:S20)</f>
        <v>344.41875000000005</v>
      </c>
    </row>
    <row r="22" spans="4:25">
      <c r="D22" s="3" t="s">
        <v>2</v>
      </c>
      <c r="E22" s="3"/>
      <c r="F22" s="22">
        <f>F21*130%</f>
        <v>27.5535</v>
      </c>
      <c r="G22" s="22">
        <f>G21*120%</f>
        <v>44.509499999999996</v>
      </c>
      <c r="H22" s="22">
        <f>H21*100%</f>
        <v>58.286249999999995</v>
      </c>
      <c r="I22" s="22">
        <f>I21*100%</f>
        <v>68.883750000000006</v>
      </c>
      <c r="K22" s="22">
        <f>K21*85%</f>
        <v>54.047249999999991</v>
      </c>
      <c r="L22" s="22">
        <f>L21*115%</f>
        <v>79.216312500000001</v>
      </c>
      <c r="M22" s="22">
        <f>M21*115%</f>
        <v>91.403437499999995</v>
      </c>
      <c r="N22" s="22">
        <f>N21*115%</f>
        <v>103.59056249999998</v>
      </c>
      <c r="O22" s="22">
        <f>O21*115%</f>
        <v>54.842062499999983</v>
      </c>
      <c r="P22" s="22">
        <f>P21*115%</f>
        <v>67.029187499999992</v>
      </c>
      <c r="R22" s="29">
        <f>R21*85%</f>
        <v>180.1575</v>
      </c>
      <c r="S22" s="29">
        <f>S21*75%</f>
        <v>258.31406250000003</v>
      </c>
    </row>
    <row r="23" spans="4:25">
      <c r="D23" s="12" t="s">
        <v>46</v>
      </c>
      <c r="E23" s="12"/>
      <c r="F23" s="23">
        <f>F21+F22</f>
        <v>48.7485</v>
      </c>
      <c r="G23" s="23">
        <f t="shared" ref="G23:P23" si="11">G21+G22</f>
        <v>81.600749999999991</v>
      </c>
      <c r="H23" s="23">
        <f t="shared" si="11"/>
        <v>116.57249999999999</v>
      </c>
      <c r="I23" s="23">
        <f t="shared" si="11"/>
        <v>137.76750000000001</v>
      </c>
      <c r="K23" s="23">
        <f t="shared" si="11"/>
        <v>117.63224999999998</v>
      </c>
      <c r="L23" s="23">
        <f t="shared" si="11"/>
        <v>148.10006250000001</v>
      </c>
      <c r="M23" s="23">
        <f t="shared" si="11"/>
        <v>170.88468749999998</v>
      </c>
      <c r="N23" s="23">
        <f t="shared" si="11"/>
        <v>193.66931249999996</v>
      </c>
      <c r="O23" s="23">
        <f t="shared" si="11"/>
        <v>102.53081249999997</v>
      </c>
      <c r="P23" s="23">
        <f t="shared" si="11"/>
        <v>125.31543749999999</v>
      </c>
      <c r="R23" s="23">
        <f t="shared" ref="R23" si="12">R21+R22</f>
        <v>392.10750000000002</v>
      </c>
      <c r="S23" s="23">
        <f t="shared" ref="S23" si="13">S21+S22</f>
        <v>602.73281250000014</v>
      </c>
    </row>
    <row r="24" spans="4:25">
      <c r="D24" s="13" t="s">
        <v>47</v>
      </c>
      <c r="E24" s="13"/>
      <c r="F24" s="24">
        <f>F23</f>
        <v>48.7485</v>
      </c>
      <c r="G24" s="24">
        <f>G23/100*118</f>
        <v>96.288884999999993</v>
      </c>
      <c r="H24" s="24">
        <f>H23/100*118</f>
        <v>137.55554999999998</v>
      </c>
      <c r="I24" s="24">
        <f>I23+I25+I27</f>
        <v>185.98612500000002</v>
      </c>
      <c r="J24" s="1"/>
      <c r="K24" s="24">
        <f>K23</f>
        <v>117.63224999999998</v>
      </c>
      <c r="L24" s="24">
        <f>L23+L25</f>
        <v>168.65006250000002</v>
      </c>
      <c r="M24" s="24">
        <f>M23+M25</f>
        <v>191.4346875</v>
      </c>
      <c r="N24" s="24">
        <f>N23+N25</f>
        <v>214.21931249999997</v>
      </c>
      <c r="O24" s="24">
        <f>O23+O25</f>
        <v>116.03081249999997</v>
      </c>
      <c r="P24" s="24">
        <f>P23+P25</f>
        <v>138.81543749999997</v>
      </c>
      <c r="R24" s="24">
        <f>R23+R25+R27</f>
        <v>529.34512500000005</v>
      </c>
      <c r="S24" s="24">
        <f>S23+S25+S27</f>
        <v>813.6892968750002</v>
      </c>
    </row>
    <row r="25" spans="4:25">
      <c r="D25" s="3" t="s">
        <v>20</v>
      </c>
      <c r="E25" s="7">
        <v>0.15</v>
      </c>
      <c r="F25" s="22" t="s">
        <v>38</v>
      </c>
      <c r="G25" s="22">
        <f>G24*15%</f>
        <v>14.443332749999998</v>
      </c>
      <c r="H25" s="22">
        <f>H24*15%</f>
        <v>20.633332499999998</v>
      </c>
      <c r="I25" s="22">
        <f>I23*15%</f>
        <v>20.665125</v>
      </c>
      <c r="K25" s="22" t="s">
        <v>38</v>
      </c>
      <c r="L25" s="25">
        <f>137*15%</f>
        <v>20.55</v>
      </c>
      <c r="M25" s="25">
        <f>137*15%</f>
        <v>20.55</v>
      </c>
      <c r="N25" s="25">
        <f>137*15%</f>
        <v>20.55</v>
      </c>
      <c r="O25" s="25">
        <f>90*15%</f>
        <v>13.5</v>
      </c>
      <c r="P25" s="25">
        <f>90*15%</f>
        <v>13.5</v>
      </c>
      <c r="R25" s="22">
        <f>R23*15%</f>
        <v>58.816125</v>
      </c>
      <c r="S25" s="22">
        <f>S23*15%</f>
        <v>90.409921875000023</v>
      </c>
      <c r="Y25" s="1"/>
    </row>
    <row r="26" spans="4:25">
      <c r="D26" s="14" t="s">
        <v>45</v>
      </c>
      <c r="E26" s="15"/>
      <c r="F26" s="26">
        <f>F23</f>
        <v>48.7485</v>
      </c>
      <c r="G26" s="26">
        <f>G24-G25</f>
        <v>81.845552249999997</v>
      </c>
      <c r="H26" s="26">
        <f>H24-H25</f>
        <v>116.92221749999999</v>
      </c>
      <c r="I26" s="26">
        <f>I24-I25-I27</f>
        <v>137.76750000000001</v>
      </c>
      <c r="J26" s="1"/>
      <c r="K26" s="26">
        <f>K24</f>
        <v>117.63224999999998</v>
      </c>
      <c r="L26" s="27">
        <f>L24-L25</f>
        <v>148.10006250000001</v>
      </c>
      <c r="M26" s="27">
        <f>M24-M25</f>
        <v>170.88468749999998</v>
      </c>
      <c r="N26" s="27">
        <f>N24-N25</f>
        <v>193.66931249999996</v>
      </c>
      <c r="O26" s="27">
        <f>O24-O25</f>
        <v>102.53081249999997</v>
      </c>
      <c r="P26" s="27">
        <f>P24-P25</f>
        <v>125.31543749999997</v>
      </c>
      <c r="R26" s="26">
        <f>R24-R25-R27</f>
        <v>392.10750000000007</v>
      </c>
      <c r="S26" s="26">
        <f>S24-S25-S27</f>
        <v>602.73281250000014</v>
      </c>
      <c r="Y26" s="1"/>
    </row>
    <row r="27" spans="4:25" ht="17.25" customHeight="1">
      <c r="D27" s="16" t="s">
        <v>21</v>
      </c>
      <c r="E27" s="17">
        <v>0.2</v>
      </c>
      <c r="F27" s="28">
        <f>F24*20%</f>
        <v>9.7497000000000007</v>
      </c>
      <c r="G27" s="28">
        <f>G24*20%</f>
        <v>19.257777000000001</v>
      </c>
      <c r="H27" s="28">
        <f>H24*20%</f>
        <v>27.511109999999999</v>
      </c>
      <c r="I27" s="28">
        <f>I23*20%</f>
        <v>27.553500000000003</v>
      </c>
      <c r="K27" s="28">
        <f>K26*20%</f>
        <v>23.526449999999997</v>
      </c>
      <c r="L27" s="28">
        <f>L23*20%</f>
        <v>29.620012500000001</v>
      </c>
      <c r="M27" s="28">
        <f>M23*20%</f>
        <v>34.176937500000001</v>
      </c>
      <c r="N27" s="28">
        <f t="shared" ref="N27:O27" si="14">N23*20%</f>
        <v>38.733862499999994</v>
      </c>
      <c r="O27" s="28">
        <f t="shared" si="14"/>
        <v>20.506162499999995</v>
      </c>
      <c r="P27" s="28">
        <f t="shared" ref="P27" si="15">P23*20%</f>
        <v>25.063087499999998</v>
      </c>
      <c r="R27" s="28">
        <f>R23*20%</f>
        <v>78.421500000000009</v>
      </c>
      <c r="S27" s="28">
        <f>S23*20%</f>
        <v>120.54656250000004</v>
      </c>
    </row>
    <row r="28" spans="4:25" ht="198" customHeight="1">
      <c r="D28" s="3" t="s">
        <v>37</v>
      </c>
      <c r="E28" s="3"/>
      <c r="F28" s="5" t="s">
        <v>70</v>
      </c>
      <c r="G28" s="5" t="s">
        <v>39</v>
      </c>
      <c r="H28" s="3"/>
      <c r="I28" s="5" t="s">
        <v>41</v>
      </c>
      <c r="K28" s="5" t="s">
        <v>71</v>
      </c>
      <c r="L28" s="5"/>
      <c r="M28" s="3"/>
      <c r="N28" s="3"/>
      <c r="O28" s="3"/>
      <c r="P28" s="3"/>
      <c r="R28" s="5" t="s">
        <v>73</v>
      </c>
      <c r="S28" s="5" t="s">
        <v>72</v>
      </c>
      <c r="T28" s="1"/>
    </row>
    <row r="29" spans="4:25">
      <c r="I29" s="1"/>
      <c r="R29" s="1"/>
      <c r="T29" s="1"/>
    </row>
    <row r="30" spans="4:25">
      <c r="F30" s="1"/>
    </row>
  </sheetData>
  <mergeCells count="4">
    <mergeCell ref="K16:P16"/>
    <mergeCell ref="F16:I16"/>
    <mergeCell ref="I3:J3"/>
    <mergeCell ref="R16:S16"/>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COMPLETION  NOTES</vt:lpstr>
      <vt:lpstr>WORKINGS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Danny Melling</dc:creator>
  <cp:lastModifiedBy>user</cp:lastModifiedBy>
  <dcterms:created xsi:type="dcterms:W3CDTF">2015-05-20T05:58:33Z</dcterms:created>
  <dcterms:modified xsi:type="dcterms:W3CDTF">2016-11-19T08:44:46Z</dcterms:modified>
</cp:coreProperties>
</file>